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74816800-7D99-48D7-8A65-C2D7A2C58947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G40" i="6"/>
  <c r="E42" i="6"/>
  <c r="F42" i="6"/>
  <c r="D30" i="3"/>
  <c r="F30" i="1" s="1"/>
  <c r="H27" i="8" l="1"/>
  <c r="H47" i="5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<sst xmlns="http://schemas.openxmlformats.org/spreadsheetml/2006/main" count="286" uniqueCount="201">
  <si>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</si>
  <si>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</si>
  <si>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</si>
  <si>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</si>
  <si>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</si>
  <si>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</si>
  <si>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</si>
  <si>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</si>
  <si>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</si>
  <si>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</si>
  <si>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</si>
  <si>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</si>
  <si>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</si>
  <si>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</si>
  <si>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</si>
  <si>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</si>
  <si>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</si>
  <si>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</si>
  <si>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</si>
  <si>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</si>
  <si>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</si>
  <si>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</si>
  <si>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</si>
  <si>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</si>
  <si>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</si>
  <si>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</si>
  <si>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</si>
  <si>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</si>
  <si>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</si>
  <si>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</si>
  <si>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</si>
  <si>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</si>
  <si>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</si>
  <si>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</si>
  <si>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</si>
  <si>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</si>
  <si>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</si>
  <si>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</si>
  <si>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</si>
  <si>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</si>
  <si>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</si>
  <si>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</si>
  <si>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</si>
  <si>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</si>
  <si>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</si>
  <si>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</si>
  <si>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</si>
  <si>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</si>
  <si>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</si>
  <si>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</si>
  <si>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</si>
  <si>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</si>
  <si>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</si>
  <si>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</si>
  <si>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</si>
  <si>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</si>
  <si>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</si>
  <si>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</si>
  <si>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</si>
  <si>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</si>
  <si>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</si>
  <si>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</si>
  <si>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</si>
  <si>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</si>
  <si>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</si>
  <si>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</si>
  <si>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</si>
  <si>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</si>
  <si>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</si>
  <si>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</si>
  <si>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</si>
  <si>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</si>
  <si>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</si>
  <si>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</si>
  <si>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</si>
  <si>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</si>
  <si>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</si>
  <si>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</si>
  <si>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</si>
  <si>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</si>
  <si>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</si>
  <si>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</si>
  <si>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</si>
  <si>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</si>
  <si>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</si>
  <si>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</si>
  <si>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</si>
  <si>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</si>
  <si>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</si>
  <si>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</si>
  <si>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</si>
  <si>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</si>
  <si>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</si>
  <si>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</si>
  <si>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</si>
  <si>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</si>
  <si>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</si>
  <si>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</si>
  <si>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</si>
  <si>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</si>
  <si>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</si>
  <si>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</si>
  <si>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</si>
  <si>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</si>
  <si>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</si>
  <si>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</si>
  <si>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</si>
  <si>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</si>
  <si>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</si>
  <si>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</si>
  <si>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</si>
  <si>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</si>
  <si>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</si>
  <si>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</si>
  <si>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</si>
  <si>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</si>
  <si>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</si>
  <si>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</si>
  <si>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</si>
  <si>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</si>
  <si>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</si>
  <si>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</si>
  <si>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</si>
  <si>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</si>
  <si>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</si>
  <si>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</si>
  <si>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</si>
  <si>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</si>
  <si>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</si>
  <si>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</si>
  <si>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</si>
  <si>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</si>
  <si>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</si>
  <si>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</si>
  <si>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</si>
  <si>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</si>
  <si>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</si>
  <si>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</si>
  <si>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</si>
  <si>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</si>
  <si>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</si>
  <si>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</si>
  <si>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</si>
  <si>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</si>
  <si>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</si>
  <si>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</si>
  <si>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</si>
  <si>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</si>
  <si>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</si>
  <si>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</si>
  <si>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</si>
  <si>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</si>
  <si>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</si>
  <si>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</si>
  <si>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</si>
  <si>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</si>
  <si>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</si>
  <si>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</si>
  <si>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</si>
  <si>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</si>
  <si>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</si>
  <si>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</si>
  <si>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</si>
  <si>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</si>
  <si>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</si>
  <si>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</si>
  <si>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</si>
  <si>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</si>
  <si>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</si>
  <si>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</si>
  <si>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</si>
  <si>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</si>
  <si>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</si>
  <si>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</si>
  <si>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</si>
  <si>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</si>
  <si>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</si>
  <si>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</si>
  <si>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</si>
  <si>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</si>
  <si>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</si>
  <si>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</si>
  <si>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</si>
  <si>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</si>
  <si>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</si>
  <si>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</si>
  <si>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</si>
  <si>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</si>
  <si>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</si>
  <si>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</si>
  <si>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</si>
  <si>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Anzing</t>
  </si>
  <si>
    <t>Stand: 15.02.2023</t>
  </si>
  <si>
    <t>Die Gemeinde Anzing setzt sich folgende Ziele:</t>
  </si>
  <si>
    <t>Anzing</t>
  </si>
  <si>
    <t>Froschkern</t>
  </si>
  <si>
    <t>Frotzhofen</t>
  </si>
  <si>
    <t>Köppelmühle</t>
  </si>
  <si>
    <t>Lindach</t>
  </si>
  <si>
    <t>Obelfing</t>
  </si>
  <si>
    <t>Oberasbach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</si>
</sst>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26648</c:v>
                </c:pt>
                <c:pt idx="1">
                  <c:v>24694.975046285839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23742.97</c:v>
                </c:pt>
                <c:pt idx="1">
                  <c:v>31821.17731378715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493</c:v>
                </c:pt>
                <c:pt idx="1">
                  <c:v>559.05216112313838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6613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44271</c:v>
                </c:pt>
                <c:pt idx="1">
                  <c:v>57075.204521196123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50884</c:v>
                </c:pt>
                <c:pt idx="1">
                  <c:v>57075.204521196123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5640.88</c:v>
                </c:pt>
                <c:pt idx="1">
                  <c:v>4758.2217357486079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9222.48</c:v>
                </c:pt>
                <c:pt idx="1">
                  <c:v>10344.920529111307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323.5</c:v>
                </c:pt>
                <c:pt idx="1">
                  <c:v>221.45037181430467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9641.1116173120736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5655</c:v>
                </c:pt>
                <c:pt idx="1">
                  <c:v>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9651.8700000000008</c:v>
                </c:pt>
                <c:pt idx="1">
                  <c:v>19310.704253986292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15306.87</c:v>
                </c:pt>
                <c:pt idx="1">
                  <c:v>24965.704253986292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3862.1408507972583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13698.04908508707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57.075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50.884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12 %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57075.204521196123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57075.204521196123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57075.204521196123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26648</v>
      </c>
      <c r="E78" s="177">
        <f>LOOKUP('Basis-Annahmen'!E5,'Nachfrage &amp; Erzeugung'!D36:G36,'Nachfrage &amp; Erzeugung'!D38:G38)</f>
        <v>24694.975046285839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23742.97</v>
      </c>
      <c r="E79" s="177">
        <f>LOOKUP('Basis-Annahmen'!E5,'Nachfrage &amp; Erzeugung'!D36:G36,'Nachfrage &amp; Erzeugung'!D39:G39)</f>
        <v>31821.17731378715</v>
      </c>
      <c r="F79" s="175"/>
      <c r="G79" s="176" t="s">
        <v>55</v>
      </c>
      <c r="H79" s="177">
        <f>'Nachfrage &amp; Erzeugung'!C46</f>
        <v>6613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493</v>
      </c>
      <c r="E80" s="177">
        <f>LOOKUP('Basis-Annahmen'!E5,'Nachfrage &amp; Erzeugung'!D36:G36,'Nachfrage &amp; Erzeugung'!D40:G40)</f>
        <v>559.05216112313838</v>
      </c>
      <c r="F80" s="175"/>
      <c r="G80" s="176" t="str">
        <f>'Nachfrage &amp; Erzeugung'!B47</f>
        <v>Nicht erneuerbare Wärmeerzeugung</v>
      </c>
      <c r="H80" s="177">
        <f>MAX(0,H82-H79)</f>
        <v>44271</v>
      </c>
      <c r="I80" s="177">
        <f>MAX(0,I82-I79)</f>
        <v>57075.204521196123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50884</v>
      </c>
      <c r="E82" s="177">
        <f>LOOKUP('Basis-Annahmen'!E5,'Nachfrage &amp; Erzeugung'!D36:G36,'Nachfrage &amp; Erzeugung'!D37:G37)</f>
        <v>57075.204521196123</v>
      </c>
      <c r="F82" s="175"/>
      <c r="G82" s="176" t="s">
        <v>82</v>
      </c>
      <c r="H82" s="177">
        <f>'Nachfrage &amp; Erzeugung'!C37</f>
        <v>50884</v>
      </c>
      <c r="I82" s="177">
        <f>LOOKUP('Basis-Annahmen'!E5,'Nachfrage &amp; Erzeugung'!D36:G36,'Nachfrage &amp; Erzeugung'!D37:G37)</f>
        <v>57075.204521196123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0.12167291331648697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24.966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63 %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39 %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27000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25847.1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253167.19200000001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5655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5655</v>
      </c>
      <c r="G32" s="256"/>
      <c r="H32" s="248">
        <f>SUM(H27:H31)</f>
        <v>306014.29200000002</v>
      </c>
      <c r="I32" s="248"/>
      <c r="J32" s="245">
        <f>IF(H32&gt;0,F32/H32,0)</f>
        <v>1.8479529054152802E-2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5640.88</v>
      </c>
      <c r="E76" s="186">
        <f>LOOKUP('Basis-Annahmen'!E5,'Nachfrage &amp; Erzeugung'!D9:G9,'Nachfrage &amp; Erzeugung'!D11:G11)</f>
        <v>4758.2217357486079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9222.48</v>
      </c>
      <c r="E77" s="186">
        <f>LOOKUP('Basis-Annahmen'!E5,'Nachfrage &amp; Erzeugung'!D9:G9,'Nachfrage &amp; Erzeugung'!D12:G12)</f>
        <v>10344.920529111307</v>
      </c>
      <c r="F77" s="175"/>
      <c r="G77" s="176" t="s">
        <v>103</v>
      </c>
      <c r="H77" s="186">
        <f>'Nachfrage &amp; Erzeugung'!C21</f>
        <v>5655</v>
      </c>
      <c r="I77" s="186">
        <f>F31</f>
        <v>5655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323.5</v>
      </c>
      <c r="E78" s="186">
        <f>LOOKUP('Basis-Annahmen'!E5,'Nachfrage &amp; Erzeugung'!D9:G9,'Nachfrage &amp; Erzeugung'!D13:G13)</f>
        <v>221.45037181430467</v>
      </c>
      <c r="F78" s="175"/>
      <c r="G78" s="176" t="str">
        <f>'Nachfrage &amp; Erzeugung'!B29</f>
        <v>Nicht aus lokalen EE gedeckter Strombedarf</v>
      </c>
      <c r="H78" s="186">
        <f>'Nachfrage &amp; Erzeugung'!C29</f>
        <v>9651.8700000000008</v>
      </c>
      <c r="I78" s="186">
        <f>MAX(0,E82-SUM(I79:I82)-I77)</f>
        <v>19310.704253986292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9641.1116173120736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15306.87</v>
      </c>
      <c r="E82" s="186">
        <f>LOOKUP('Basis-Annahmen'!E5,'Nachfrage &amp; Erzeugung'!D9:G9,'Nachfrage &amp; Erzeugung'!D10:G10)</f>
        <v>24965.704253986292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0.63101301925124409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0.38617423002488183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5010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19310.704253986292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3862.1408507972583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0.7708863973647222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57075.204521196123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13698.04908508707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2.734141533949515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1.62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17560.189935884329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3.5050279313142374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3862.1408507972583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13698.04908508707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9.588068181818182E-3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2.166193181818182E-2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4390</v>
      </c>
      <c r="F34" s="69">
        <v>4560</v>
      </c>
      <c r="G34" s="69">
        <v>4710</v>
      </c>
      <c r="H34" s="69">
        <v>4860</v>
      </c>
      <c r="I34" s="70">
        <v>5010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3.8724373576309798E-2</v>
      </c>
      <c r="G36" s="67">
        <f>(G34-F34)/F34</f>
        <v>3.2894736842105261E-2</v>
      </c>
      <c r="H36" s="67">
        <f>(H34-G34)/G34</f>
        <v>3.1847133757961783E-2</v>
      </c>
      <c r="I36" s="68">
        <f>(I34-H34)/H34</f>
        <v>3.0864197530864196E-2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51.722059155565589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0.64145785876993167</v>
      </c>
      <c r="F44" s="73">
        <f>E44*(1+(F13*(F43-E43)))</f>
        <v>0.64145785876993167</v>
      </c>
      <c r="G44" s="73">
        <f t="shared" ref="G44:I44" si="0">F44*(1+(G13*(G43-F43)))</f>
        <v>0.64145785876993167</v>
      </c>
      <c r="H44" s="73">
        <f t="shared" si="0"/>
        <v>0.64145785876993167</v>
      </c>
      <c r="I44" s="190">
        <f t="shared" si="0"/>
        <v>0.64145785876993167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2816</v>
      </c>
      <c r="F45" s="36">
        <f>F44*F34</f>
        <v>2925.0478359908884</v>
      </c>
      <c r="G45" s="36">
        <f t="shared" ref="G45:I45" si="1">G44*G34</f>
        <v>3021.2665148063779</v>
      </c>
      <c r="H45" s="36">
        <f t="shared" si="1"/>
        <v>3117.4851936218679</v>
      </c>
      <c r="I45" s="74">
        <f t="shared" si="1"/>
        <v>3213.7038724373579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27</v>
      </c>
      <c r="F46" s="36">
        <f>F$45*F$14</f>
        <v>146.25239179954443</v>
      </c>
      <c r="G46" s="36">
        <f>G$45*G$14</f>
        <v>906.37995444191336</v>
      </c>
      <c r="H46" s="36">
        <f>H$45*H$14</f>
        <v>1870.4911161731206</v>
      </c>
      <c r="I46" s="74">
        <f>I$45*I$14</f>
        <v>3213.7038724373579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61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15306.87</v>
      </c>
      <c r="D10" s="94">
        <f>D11+D12+D13+D14+D15</f>
        <v>15109.78080693118</v>
      </c>
      <c r="E10" s="94">
        <f>E11+E12+E13+E14+D15</f>
        <v>17579.825731423487</v>
      </c>
      <c r="F10" s="94">
        <f>F11+F12+F13+F14+D15</f>
        <v>20689.518991487777</v>
      </c>
      <c r="G10" s="95">
        <f>G11+G12+G13+G14+D15</f>
        <v>24965.704253986292</v>
      </c>
      <c r="H10" s="14"/>
    </row>
    <row r="11" spans="1:8" ht="19.5" customHeight="1" x14ac:dyDescent="0.2">
      <c r="B11" s="88" t="s">
        <v>6</v>
      </c>
      <c r="C11" s="96">
        <v>5640.88</v>
      </c>
      <c r="D11" s="97">
        <f>C11/'Basis-Annahmen'!E34*((1-'Basis-Annahmen'!F19)^(D9-C9))*'Basis-Annahmen'!F34</f>
        <v>5432.8577742188572</v>
      </c>
      <c r="E11" s="97">
        <f>D11/'Basis-Annahmen'!F34*((1-'Basis-Annahmen'!G19)^5)*'Basis-Annahmen'!G34</f>
        <v>5203.1404945525874</v>
      </c>
      <c r="F11" s="97">
        <f>E11/'Basis-Annahmen'!G34*((1-'Basis-Annahmen'!H19)^5)*'Basis-Annahmen'!H34</f>
        <v>4978.0822443917941</v>
      </c>
      <c r="G11" s="98">
        <f>F11/'Basis-Annahmen'!H34*((1-'Basis-Annahmen'!I19)^5)*'Basis-Annahmen'!I34</f>
        <v>4758.2217357486079</v>
      </c>
      <c r="H11" s="14"/>
    </row>
    <row r="12" spans="1:8" ht="19.5" customHeight="1" x14ac:dyDescent="0.2">
      <c r="B12" s="88" t="s">
        <v>104</v>
      </c>
      <c r="C12" s="96">
        <v>9222.48</v>
      </c>
      <c r="D12" s="97">
        <f>((1-'Basis-Annahmen'!F20)^(D9-C9))*((1+'Basis-Annahmen'!F9)^(D9-C9))*C12</f>
        <v>8960.3653999997387</v>
      </c>
      <c r="E12" s="97">
        <f>((1-'Basis-Annahmen'!G20)^5)*((1+'Basis-Annahmen'!G9)^5)*D12</f>
        <v>9399.9642051589472</v>
      </c>
      <c r="F12" s="97">
        <f>((1-'Basis-Annahmen'!H20)^5)*((1+'Basis-Annahmen'!H9)^5)*E12</f>
        <v>9861.1298885503093</v>
      </c>
      <c r="G12" s="98">
        <f>((1-'Basis-Annahmen'!I20)^5)*((1+'Basis-Annahmen'!I9)^5)*F12</f>
        <v>10344.920529111307</v>
      </c>
      <c r="H12" s="14"/>
    </row>
    <row r="13" spans="1:8" ht="19.5" customHeight="1" x14ac:dyDescent="0.2">
      <c r="B13" s="88" t="s">
        <v>7</v>
      </c>
      <c r="C13" s="96">
        <v>323.5</v>
      </c>
      <c r="D13" s="97">
        <f>C13*((1-'Basis-Annahmen'!F20)^(D9-C9))</f>
        <v>277.80045731394995</v>
      </c>
      <c r="E13" s="97">
        <f>D13*((1-'Basis-Annahmen'!G20)^5)</f>
        <v>257.5811683862118</v>
      </c>
      <c r="F13" s="97">
        <f>E13*((1-'Basis-Annahmen'!H20)^5)</f>
        <v>238.8335100263144</v>
      </c>
      <c r="G13" s="98">
        <f>F13*((1-'Basis-Annahmen'!I20)^5)</f>
        <v>221.45037181430467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438.75717539863331</v>
      </c>
      <c r="E14" s="97">
        <f>'Basis-Annahmen'!G46*'Basis-Annahmen'!G51+'Basis-Annahmen'!G47*'Basis-Annahmen'!G52</f>
        <v>2719.13986332574</v>
      </c>
      <c r="F14" s="97">
        <f>'Basis-Annahmen'!H46*'Basis-Annahmen'!H51+'Basis-Annahmen'!H47*'Basis-Annahmen'!H52</f>
        <v>5611.4733485193619</v>
      </c>
      <c r="G14" s="98">
        <f>'Basis-Annahmen'!I46*'Basis-Annahmen'!I51+'Basis-Annahmen'!I47*'Basis-Annahmen'!I52</f>
        <v>9641.1116173120736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-1.2875865089911996E-2</v>
      </c>
      <c r="E16" s="101">
        <f>(E10-$C$10)/$C$10</f>
        <v>0.14849252207822278</v>
      </c>
      <c r="F16" s="101">
        <f t="shared" ref="F16" si="0">(F10-$C$10)/$C$10</f>
        <v>0.35164922622899236</v>
      </c>
      <c r="G16" s="102">
        <f>(G10-$C$10)/$C$10</f>
        <v>0.63101301925124409</v>
      </c>
      <c r="H16" s="14"/>
    </row>
    <row r="17" spans="1:10" ht="19.5" customHeight="1" x14ac:dyDescent="0.2">
      <c r="B17" s="89" t="s">
        <v>97</v>
      </c>
      <c r="C17" s="107"/>
      <c r="D17" s="104">
        <f>D14/D10</f>
        <v>2.9037957664969302E-2</v>
      </c>
      <c r="E17" s="104">
        <f>E14/E10</f>
        <v>0.15467388043928942</v>
      </c>
      <c r="F17" s="104">
        <f>F14/F10</f>
        <v>0.27122299705604913</v>
      </c>
      <c r="G17" s="105">
        <f>G14/G10</f>
        <v>0.38617423002488183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5655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5447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208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9651.8700000000008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50884</v>
      </c>
      <c r="D37" s="94">
        <f>SUM(D38:D40)</f>
        <v>52438.448421385663</v>
      </c>
      <c r="E37" s="94">
        <f>SUM(E38:E40)</f>
        <v>53910.516679346409</v>
      </c>
      <c r="F37" s="94">
        <f t="shared" ref="F37:G37" si="1">SUM(F38:F40)</f>
        <v>55413.578342150955</v>
      </c>
      <c r="G37" s="95">
        <f t="shared" si="1"/>
        <v>57075.204521196123</v>
      </c>
      <c r="H37" s="14"/>
    </row>
    <row r="38" spans="1:8" ht="19.5" customHeight="1" x14ac:dyDescent="0.2">
      <c r="A38" s="14"/>
      <c r="B38" s="113" t="s">
        <v>6</v>
      </c>
      <c r="C38" s="96">
        <v>26648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26380.855564461501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25896.478480469628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25295.726763377734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24694.975046285839</v>
      </c>
      <c r="H38" s="14"/>
    </row>
    <row r="39" spans="1:8" ht="19.5" customHeight="1" x14ac:dyDescent="0.2">
      <c r="A39" s="14"/>
      <c r="B39" s="113" t="s">
        <v>104</v>
      </c>
      <c r="C39" s="96">
        <v>23742.97</v>
      </c>
      <c r="D39" s="97">
        <f>C39*((1-'Basis-Annahmen'!F$24)^(D36-C36))*((1+'Basis-Annahmen'!F$9)^(D36-C36))</f>
        <v>25546.437395402041</v>
      </c>
      <c r="E39" s="97">
        <f>((1-'Basis-Annahmen'!G$24)^5)*((1+'Basis-Annahmen'!G$9)^5)*'Nachfrage &amp; Erzeugung'!D39</f>
        <v>27486.892482161911</v>
      </c>
      <c r="F39" s="97">
        <f>((1-'Basis-Annahmen'!H$24)^5)*((1+'Basis-Annahmen'!H$9)^5)*'Nachfrage &amp; Erzeugung'!E39</f>
        <v>29574.740564878623</v>
      </c>
      <c r="G39" s="98">
        <f>((1-'Basis-Annahmen'!I$24)^5)*((1+'Basis-Annahmen'!I$9)^5)*'Nachfrage &amp; Erzeugung'!F39</f>
        <v>31821.17731378715</v>
      </c>
      <c r="H39" s="14"/>
    </row>
    <row r="40" spans="1:8" ht="19.5" customHeight="1" x14ac:dyDescent="0.2">
      <c r="A40" s="14"/>
      <c r="B40" s="113" t="s">
        <v>7</v>
      </c>
      <c r="C40" s="96">
        <v>493</v>
      </c>
      <c r="D40" s="97">
        <f>C40+(C40*'Basis-Annahmen'!F36)*((1-'Basis-Annahmen'!F24)^(D36-C36))</f>
        <v>511.15546152212278</v>
      </c>
      <c r="E40" s="97">
        <f>D40+(D40*'Basis-Annahmen'!G36)*((1-'Basis-Annahmen'!G24)^5)</f>
        <v>527.14571671487215</v>
      </c>
      <c r="F40" s="97">
        <f>E40+(E40*'Basis-Annahmen'!H36)*((1-'Basis-Annahmen'!H24)^5)</f>
        <v>543.11101389459338</v>
      </c>
      <c r="G40" s="98">
        <f>F40+(F40*'Basis-Annahmen'!I36)*((1-'Basis-Annahmen'!I24)^5)</f>
        <v>559.05216112313838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3.0548864503295005E-2</v>
      </c>
      <c r="E42" s="104">
        <f>(E37-$C$37)/$C$37</f>
        <v>5.9478749299316264E-2</v>
      </c>
      <c r="F42" s="104">
        <f>(F37-$C$37)/$C$37</f>
        <v>8.9017733317957606E-2</v>
      </c>
      <c r="G42" s="105">
        <f>(G37-$C$37)/$C$37</f>
        <v>0.12167291331648697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6613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44271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0.65263968912648773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1.7939954399769264E-2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4.6738407913045482E-2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2.034357867611612E-3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4.9358739654903047E-2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0.1679692951121643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6.3319555926018539E-2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27000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3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25847.1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172314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253167.19200000001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351.62110000000001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